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firstSheet="3" activeTab="3"/>
  </bookViews>
  <sheets>
    <sheet name="incrementoccnl" sheetId="1" r:id="rId1"/>
    <sheet name="II FASCIA" sheetId="2" state="hidden" r:id="rId2"/>
    <sheet name="2014 II FASCIA" sheetId="3" state="hidden" r:id="rId3"/>
    <sheet name="201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<sst xmlns="http://schemas.openxmlformats.org/spreadsheetml/2006/main" count="102" uniqueCount="59">
  <si>
    <t>ANNO 2004</t>
  </si>
  <si>
    <t>Fondo base per retribuzione di posizione e di risultato</t>
  </si>
  <si>
    <t xml:space="preserve">Risorse derivanti dal CCNL 2002/2005 - Biennio economico 2002/2003 art.52, comma 4 e art.58 commi 5 e 6 - Biennio economico 2004/2005 art.5, comma 3 e art.7 </t>
  </si>
  <si>
    <t xml:space="preserve">RIA cessati anni pregressi </t>
  </si>
  <si>
    <t>Risorse aggiuntive necessarie al  finanziamento della retribuzione di posizione e di risultato in favore dei  dirigenti in posizione di comando o fuori ruolo presso le strutture della P.C.M. (comma 7 art.58 CCNL)</t>
  </si>
  <si>
    <t>TOTALE COMPLESSIVO  PARTE FISSA DEL FONDO AL LORDO DEGLI ONERI</t>
  </si>
  <si>
    <t>Risorse aggiuntive necessarie a sostenere l'accrescimento dei livelli qualitativi dei servizi esistenti  ai quali è correlato l'ampliamento delle competenze - strutture di missione
 (comma 8 art.58 CCNL)</t>
  </si>
  <si>
    <t xml:space="preserve"> CCNL 2006/2009 - Risorse destinate alla posizione fissa calcolate sulla base dei presenti al 31 dicembre 2007</t>
  </si>
  <si>
    <t xml:space="preserve"> CCNL 2006/2009 - Risorse destinate al risultato calcolate sulla base dei presenti al 31 dicembre 2007</t>
  </si>
  <si>
    <t>Riduzione 10% (Art.67 - comma 5 D.L. 112/2008)</t>
  </si>
  <si>
    <t>Incarichi acquisiti al fondo</t>
  </si>
  <si>
    <t>50% degli incarichi corrisposti al lordo degli oneri</t>
  </si>
  <si>
    <t xml:space="preserve"> SPESA COMPLESSIVA  AL LORDO DEGLI  ONERI</t>
  </si>
  <si>
    <t xml:space="preserve"> RESIDUO AL LORDO DEGLI ONERI</t>
  </si>
  <si>
    <t xml:space="preserve"> RESIDUO AL NETTO DEGLI ONERI</t>
  </si>
  <si>
    <t>Retribuzione di posizione e di risultato dirigenti in servizio presso la P.C.M.</t>
  </si>
  <si>
    <t>ONERI</t>
  </si>
  <si>
    <t>RISORSE DESTINATE ALLA RETRIBUZIONE DI RISULTATO</t>
  </si>
  <si>
    <t>II FASCIA</t>
  </si>
  <si>
    <t>Monte salari 31/12/2005</t>
  </si>
  <si>
    <t>% incr. Ris.</t>
  </si>
  <si>
    <t xml:space="preserve"> incr. Ris.pro-capite</t>
  </si>
  <si>
    <t>% incr. Pos.</t>
  </si>
  <si>
    <t xml:space="preserve"> incr. Pos.pro-capite</t>
  </si>
  <si>
    <t>UNITA'</t>
  </si>
  <si>
    <t>Monte salari 31/12/2007</t>
  </si>
  <si>
    <t>importo destinato al risultato al 01/01/2007</t>
  </si>
  <si>
    <t>importo destinato alla posizione al 01/01/2007</t>
  </si>
  <si>
    <t>importo destinato al risultato al 31/12/2007</t>
  </si>
  <si>
    <t>importo destinato alla posizione al 31/12/2007</t>
  </si>
  <si>
    <t>importo destinato al risultato al 01/01/2009</t>
  </si>
  <si>
    <t>importo destinato alla posizione al 01/01/2009</t>
  </si>
  <si>
    <t>importo complessivo destinato al risultato al 01/01/2009</t>
  </si>
  <si>
    <t>importo complessivo destinato alla posizione al 01/01/2009</t>
  </si>
  <si>
    <t>TOTALE</t>
  </si>
  <si>
    <t>INCREMENTI</t>
  </si>
  <si>
    <t>IMPORTO ANNUO PRO - CAPITE</t>
  </si>
  <si>
    <t>Incremento CCNL 2002/2005 dal 1° gennaio 2002 comprensivo degli oneri (*)</t>
  </si>
  <si>
    <t>Incremento CCNL 2002/2005 dal 1° gennaio 2003 comprensivo degli oneri (*)</t>
  </si>
  <si>
    <t>Incremento CCNL 2002/2005 dal 1° gennaio 2004 comprensivo degli oneri (*)</t>
  </si>
  <si>
    <t>Incremento CCNL 2002/2005 dal 1° gennaio 2005 comprensivo degli oneri (*)</t>
  </si>
  <si>
    <t>Incremento CCNL 2002/2005 dal 1° gennaio 2006 comprensivo degli oneri (*)</t>
  </si>
  <si>
    <t>Totale incremento  fondo 1° gennaio 2006</t>
  </si>
  <si>
    <t xml:space="preserve">Riduzione dotazione organica (DPCM 1° ottobre  2012) </t>
  </si>
  <si>
    <r>
      <rPr>
        <b/>
        <sz val="10"/>
        <rFont val="Arial"/>
        <family val="2"/>
      </rPr>
      <t xml:space="preserve">Riduzione </t>
    </r>
    <r>
      <rPr>
        <sz val="10"/>
        <rFont val="Arial"/>
        <family val="2"/>
      </rPr>
      <t xml:space="preserve"> della dotazione organica  (DPCM 5 agosto 2010). </t>
    </r>
  </si>
  <si>
    <t xml:space="preserve">PARTE FISSA DEL FONDO  </t>
  </si>
  <si>
    <t>PARTE FISSA DEL FONDO  AL LORDO DEGLI ONERI</t>
  </si>
  <si>
    <t>Integrazione risultato x interim2013 al lordo degli oneri</t>
  </si>
  <si>
    <t xml:space="preserve">Risorse per incremento della dotazione organica (DPCM 29 ottobre 2009) </t>
  </si>
  <si>
    <t>ANNO  2014</t>
  </si>
  <si>
    <t>ANNO 2014</t>
  </si>
  <si>
    <t>Ratei RIA cessati 2014</t>
  </si>
  <si>
    <t>Risparmi di gestione relativi all'anno 2013</t>
  </si>
  <si>
    <t>Riduzione ex art.9 comma 2 bis D.L. 78/2010 (personale cessato negli anni 2011, 2012, 2013 e 2014)</t>
  </si>
  <si>
    <t xml:space="preserve"> SPESA ANNO 2014</t>
  </si>
  <si>
    <t xml:space="preserve">Riduzione dotazione organica (DPCM 14 aprile 2014 - trasferimento Turismo) </t>
  </si>
  <si>
    <t>PARTE FISSA DEL FONDO  CON ONERI</t>
  </si>
  <si>
    <t>TOTALE COMPLESSIVO  PARTE FISSA DEL FONDO CON ONERI</t>
  </si>
  <si>
    <t>Integrazione risultato x interim2014 al lordo degli oneri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</si>
</sst>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0.0"/>
    <numFmt numFmtId="172" formatCode="_-* #,##0.00_-;\-* #,##0.00_-;_-* &quot;-&quot;_-;_-@_-"/>
    <numFmt numFmtId="173" formatCode="d\ mmmm\ yyyy"/>
    <numFmt numFmtId="174" formatCode="d/m/yy"/>
    <numFmt numFmtId="175" formatCode="d\-mmm\-yy"/>
    <numFmt numFmtId="176" formatCode="_-* #,##0.0_-;\-* #,##0.0_-;_-* &quot;-&quot;_-;_-@_-"/>
    <numFmt numFmtId="177" formatCode="_-* #,##0.000_-;\-* #,##0.000_-;_-* &quot;-&quot;_-;_-@_-"/>
    <numFmt numFmtId="178" formatCode="_-* #,##0.0000_-;\-* #,##0.0000_-;_-* &quot;-&quot;_-;_-@_-"/>
    <numFmt numFmtId="179" formatCode="_-[$€-2]\ * #,##0.00_-;\-[$€-2]\ * #,##0.00_-;_-[$€-2]\ * &quot;-&quot;??_-"/>
    <numFmt numFmtId="180" formatCode="_-[$€-2]\ * #,##0.00_-;\-[$€-2]\ * #,##0.00_-;_-[$€-2]\ * &quot;-&quot;??_-;_-@_-"/>
    <numFmt numFmtId="181" formatCode="#,##0.0"/>
    <numFmt numFmtId="182" formatCode="#,##0.000"/>
    <numFmt numFmtId="183" formatCode="&quot;L.&quot;\ #,##0"/>
    <numFmt numFmtId="184" formatCode="_-* #,##0.0_-;\-* #,##0.0_-;_-* &quot;-&quot;??_-;_-@_-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9" fontId="1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1" fontId="4" fillId="0" borderId="10" xfId="45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1" fontId="4" fillId="0" borderId="0" xfId="45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3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wrapText="1"/>
    </xf>
    <xf numFmtId="41" fontId="0" fillId="0" borderId="10" xfId="45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1" fontId="4" fillId="0" borderId="10" xfId="45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0" fillId="0" borderId="10" xfId="0" applyNumberFormat="1" applyBorder="1" applyAlignment="1">
      <alignment/>
    </xf>
    <xf numFmtId="44" fontId="4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/>
    </xf>
    <xf numFmtId="44" fontId="4" fillId="0" borderId="13" xfId="0" applyNumberFormat="1" applyFont="1" applyBorder="1" applyAlignment="1">
      <alignment/>
    </xf>
    <xf numFmtId="0" fontId="0" fillId="0" borderId="0" xfId="0" applyNumberFormat="1" applyAlignment="1">
      <alignment/>
    </xf>
    <xf numFmtId="44" fontId="4" fillId="0" borderId="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3" fontId="4" fillId="0" borderId="10" xfId="45" applyNumberFormat="1" applyFont="1" applyBorder="1" applyAlignment="1">
      <alignment/>
    </xf>
    <xf numFmtId="0" fontId="6" fillId="0" borderId="1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4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14" fontId="4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4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pacifici\Desktop\fondo\FONDOIIFASCIA\RIA%20CESS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pacifici\Documenti\DESKTOP\fondo\FONDOIIFASCIA\RIA%20CESSA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pacifici\Documents\DESKTOP\fondo\FONDOIIFASCIA\2014\fondo%202014%20II%20FASCIA\RIDUZIONE%20CESSATI%202011,%202012%20D.L.7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pacifici\Documents\DESKTOP\fondo\FONDOIIFASCIA\2014\fondo%202014%20II%20FASCIA\RIA%20CESSA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pacifici\Documents\DESKTOP\fondo\FONDOIIFASCIA\2014\fondo%202014%20II%20FASCIA\contingente%20strutture%20di%20missio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pacifici\Documents\DESKTOP\fondo\FONDOIIFASCIA\2014\fondo%202014%20II%20FASCIA\PRESTITO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pacifici\Documents\DESKTOP\fondo\FONDOIIFASCIA\2014\fondo%202014%20II%20FASCIA\SPESA%20ANNO%20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pacifici\Documents\DESKTOP\fondo\FONDOIIFASCIA\2014\fondo%202014%20II%20FASCIA\INTE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acessati "/>
    </sheetNames>
    <sheetDataSet>
      <sheetData sheetId="0">
        <row r="91">
          <cell r="H91">
            <v>13339.050833333335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acessati "/>
    </sheetNames>
    <sheetDataSet>
      <sheetData sheetId="0">
        <row r="100">
          <cell r="H100">
            <v>8467.029999999999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2014riduzione CESSATI"/>
      <sheetName val="11, 12 e 13  riduzione CESSATI"/>
    </sheetNames>
    <sheetDataSet>
      <sheetData sheetId="0">
        <row r="7">
          <cell r="E7">
            <v>22356.96</v>
          </cell>
          <cell r="F7">
            <v>10000</v>
          </cell>
        </row>
      </sheetData>
      <sheetData sheetId="1">
        <row r="14">
          <cell r="C14">
            <v>199815.33</v>
          </cell>
          <cell r="D14">
            <v>82500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acessati "/>
    </sheetNames>
    <sheetDataSet>
      <sheetData sheetId="0">
        <row r="108">
          <cell r="H108">
            <v>5659.29</v>
          </cell>
        </row>
        <row r="120">
          <cell r="G120">
            <v>4500.131305555555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4 strutture missione"/>
    </sheetNames>
    <sheetDataSet>
      <sheetData sheetId="0">
        <row r="23">
          <cell r="E23">
            <v>800604.5095526399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2014 personale di prestito"/>
    </sheetNames>
    <sheetDataSet>
      <sheetData sheetId="0">
        <row r="10">
          <cell r="F10">
            <v>1933481.3736959998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PESA 2014"/>
    </sheetNames>
    <sheetDataSet>
      <sheetData sheetId="0">
        <row r="189">
          <cell r="E189">
            <v>9960361.129008368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 2014INTERIM"/>
    </sheetNames>
    <sheetDataSet>
      <sheetData sheetId="0">
        <row r="9">
          <cell r="D9">
            <v>55245.04030999999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5.00390625" style="1" customWidth="1"/>
    <col min="2" max="2" width="0.13671875" style="1" customWidth="1"/>
    <col min="3" max="3" width="11.421875" style="1" customWidth="1"/>
    <col min="4" max="4" width="17.57421875" style="1" customWidth="1"/>
    <col min="5" max="5" width="9.8515625" style="1" customWidth="1"/>
    <col min="6" max="6" width="15.00390625" style="47" customWidth="1"/>
    <col min="7" max="7" width="17.140625" style="1" customWidth="1"/>
    <col min="8" max="8" width="12.8515625" style="1" bestFit="1" customWidth="1"/>
    <col min="9" max="16384" width="9.140625" style="1" customWidth="1"/>
  </cols>
  <sheetData>
    <row r="1" spans="1:6" ht="33.75">
      <c r="A1" s="42" t="s">
        <v>35</v>
      </c>
      <c r="B1" s="2"/>
      <c r="C1" s="43" t="s">
        <v>36</v>
      </c>
      <c r="D1" s="42" t="s">
        <v>16</v>
      </c>
      <c r="E1" s="42" t="s">
        <v>24</v>
      </c>
      <c r="F1" s="42" t="s">
        <v>34</v>
      </c>
    </row>
    <row r="2" spans="1:221" ht="35.25" customHeight="1">
      <c r="A2" s="44" t="s">
        <v>37</v>
      </c>
      <c r="B2" s="4" t="e">
        <f>#REF!*1936.27</f>
        <v>#REF!</v>
      </c>
      <c r="C2" s="45">
        <f>28*13</f>
        <v>364</v>
      </c>
      <c r="D2" s="45">
        <f>C2*38.38/100</f>
        <v>139.7032</v>
      </c>
      <c r="E2" s="4">
        <v>190</v>
      </c>
      <c r="F2" s="6">
        <f>(C2+D2)*E2</f>
        <v>95703.60800000001</v>
      </c>
      <c r="H2" s="7"/>
      <c r="J2" s="8"/>
      <c r="K2" s="7"/>
      <c r="M2" s="8"/>
      <c r="N2" s="7"/>
      <c r="P2" s="8"/>
      <c r="Q2" s="7"/>
      <c r="S2" s="8"/>
      <c r="T2" s="7"/>
      <c r="V2" s="8"/>
      <c r="W2" s="7"/>
      <c r="Y2" s="8"/>
      <c r="Z2" s="7"/>
      <c r="AB2" s="8"/>
      <c r="AC2" s="7"/>
      <c r="AE2" s="8"/>
      <c r="AF2" s="7"/>
      <c r="AH2" s="8"/>
      <c r="AI2" s="7"/>
      <c r="AK2" s="8"/>
      <c r="AL2" s="7"/>
      <c r="AN2" s="8"/>
      <c r="AO2" s="7"/>
      <c r="AQ2" s="8"/>
      <c r="AR2" s="7"/>
      <c r="AT2" s="8"/>
      <c r="AU2" s="7"/>
      <c r="AW2" s="8"/>
      <c r="AX2" s="7"/>
      <c r="AZ2" s="8"/>
      <c r="BA2" s="7"/>
      <c r="BC2" s="8"/>
      <c r="BD2" s="7"/>
      <c r="BF2" s="8"/>
      <c r="BG2" s="7"/>
      <c r="BI2" s="8"/>
      <c r="BJ2" s="7"/>
      <c r="BL2" s="8"/>
      <c r="BM2" s="7"/>
      <c r="BO2" s="8"/>
      <c r="BP2" s="7"/>
      <c r="BR2" s="8"/>
      <c r="BS2" s="7"/>
      <c r="BU2" s="8"/>
      <c r="BV2" s="7"/>
      <c r="BX2" s="8"/>
      <c r="BY2" s="7"/>
      <c r="CA2" s="8"/>
      <c r="CB2" s="7"/>
      <c r="CD2" s="8"/>
      <c r="CE2" s="7"/>
      <c r="CG2" s="8"/>
      <c r="CH2" s="7"/>
      <c r="CJ2" s="8"/>
      <c r="CK2" s="7"/>
      <c r="CM2" s="8"/>
      <c r="CN2" s="7"/>
      <c r="CP2" s="8"/>
      <c r="CQ2" s="7"/>
      <c r="CS2" s="8"/>
      <c r="CT2" s="7"/>
      <c r="CV2" s="8"/>
      <c r="CW2" s="7"/>
      <c r="CY2" s="8"/>
      <c r="CZ2" s="7"/>
      <c r="DB2" s="8"/>
      <c r="DC2" s="7"/>
      <c r="DE2" s="8"/>
      <c r="DF2" s="7"/>
      <c r="DH2" s="8"/>
      <c r="DI2" s="7"/>
      <c r="DK2" s="8"/>
      <c r="DL2" s="7"/>
      <c r="DN2" s="8"/>
      <c r="DO2" s="7"/>
      <c r="DQ2" s="8"/>
      <c r="DR2" s="7"/>
      <c r="DT2" s="8"/>
      <c r="DU2" s="7"/>
      <c r="DW2" s="8"/>
      <c r="DX2" s="7"/>
      <c r="DZ2" s="8"/>
      <c r="EA2" s="7"/>
      <c r="EC2" s="8"/>
      <c r="ED2" s="7"/>
      <c r="EF2" s="8"/>
      <c r="EG2" s="7"/>
      <c r="EI2" s="8"/>
      <c r="EJ2" s="7"/>
      <c r="EL2" s="8"/>
      <c r="EM2" s="7"/>
      <c r="EO2" s="8"/>
      <c r="EP2" s="7"/>
      <c r="ER2" s="8"/>
      <c r="ES2" s="7"/>
      <c r="EU2" s="8"/>
      <c r="EV2" s="7"/>
      <c r="EX2" s="8"/>
      <c r="EY2" s="7"/>
      <c r="FA2" s="8"/>
      <c r="FB2" s="7"/>
      <c r="FD2" s="8"/>
      <c r="FE2" s="7"/>
      <c r="FG2" s="8"/>
      <c r="FH2" s="7"/>
      <c r="FJ2" s="8"/>
      <c r="FK2" s="7"/>
      <c r="FM2" s="8"/>
      <c r="FN2" s="7"/>
      <c r="FP2" s="8"/>
      <c r="FQ2" s="7"/>
      <c r="FS2" s="8"/>
      <c r="FT2" s="7"/>
      <c r="FV2" s="8"/>
      <c r="FW2" s="7"/>
      <c r="FY2" s="8"/>
      <c r="FZ2" s="7"/>
      <c r="GB2" s="8"/>
      <c r="GC2" s="7"/>
      <c r="GE2" s="8"/>
      <c r="GF2" s="7"/>
      <c r="GH2" s="8"/>
      <c r="GI2" s="7"/>
      <c r="GK2" s="8"/>
      <c r="GL2" s="7"/>
      <c r="GN2" s="8"/>
      <c r="GO2" s="7"/>
      <c r="GQ2" s="8"/>
      <c r="GR2" s="7"/>
      <c r="GT2" s="8"/>
      <c r="GU2" s="7"/>
      <c r="GW2" s="8"/>
      <c r="GX2" s="7"/>
      <c r="GZ2" s="8"/>
      <c r="HA2" s="7"/>
      <c r="HC2" s="8"/>
      <c r="HD2" s="7"/>
      <c r="HF2" s="8"/>
      <c r="HG2" s="7"/>
      <c r="HI2" s="8"/>
      <c r="HJ2" s="7"/>
      <c r="HL2" s="8"/>
      <c r="HM2" s="7"/>
    </row>
    <row r="3" spans="1:221" ht="37.5" customHeight="1">
      <c r="A3" s="44" t="s">
        <v>38</v>
      </c>
      <c r="B3" s="4" t="e">
        <f>#REF!*1936.27</f>
        <v>#REF!</v>
      </c>
      <c r="C3" s="45">
        <f>129.1*13</f>
        <v>1678.3</v>
      </c>
      <c r="D3" s="45">
        <f>C3*38.38/100</f>
        <v>644.13154</v>
      </c>
      <c r="E3" s="4">
        <v>190</v>
      </c>
      <c r="F3" s="6">
        <f>C3*E3</f>
        <v>318877</v>
      </c>
      <c r="G3" s="5"/>
      <c r="H3" s="7"/>
      <c r="J3" s="8"/>
      <c r="K3" s="7"/>
      <c r="M3" s="8"/>
      <c r="N3" s="7"/>
      <c r="P3" s="8"/>
      <c r="Q3" s="7"/>
      <c r="S3" s="8"/>
      <c r="T3" s="7"/>
      <c r="V3" s="8"/>
      <c r="W3" s="7"/>
      <c r="Y3" s="8"/>
      <c r="Z3" s="7"/>
      <c r="AB3" s="8"/>
      <c r="AC3" s="7"/>
      <c r="AE3" s="8"/>
      <c r="AF3" s="7"/>
      <c r="AH3" s="8"/>
      <c r="AI3" s="7"/>
      <c r="AK3" s="8"/>
      <c r="AL3" s="7"/>
      <c r="AN3" s="8"/>
      <c r="AO3" s="7"/>
      <c r="AQ3" s="8"/>
      <c r="AR3" s="7"/>
      <c r="AT3" s="8"/>
      <c r="AU3" s="7"/>
      <c r="AW3" s="8"/>
      <c r="AX3" s="7"/>
      <c r="AZ3" s="8"/>
      <c r="BA3" s="7"/>
      <c r="BC3" s="8"/>
      <c r="BD3" s="7"/>
      <c r="BF3" s="8"/>
      <c r="BG3" s="7"/>
      <c r="BI3" s="8"/>
      <c r="BJ3" s="7"/>
      <c r="BL3" s="8"/>
      <c r="BM3" s="7"/>
      <c r="BO3" s="8"/>
      <c r="BP3" s="7"/>
      <c r="BR3" s="8"/>
      <c r="BS3" s="7"/>
      <c r="BU3" s="8"/>
      <c r="BV3" s="7"/>
      <c r="BX3" s="8"/>
      <c r="BY3" s="7"/>
      <c r="CA3" s="8"/>
      <c r="CB3" s="7"/>
      <c r="CD3" s="8"/>
      <c r="CE3" s="7"/>
      <c r="CG3" s="8"/>
      <c r="CH3" s="7"/>
      <c r="CJ3" s="8"/>
      <c r="CK3" s="7"/>
      <c r="CM3" s="8"/>
      <c r="CN3" s="7"/>
      <c r="CP3" s="8"/>
      <c r="CQ3" s="7"/>
      <c r="CS3" s="8"/>
      <c r="CT3" s="7"/>
      <c r="CV3" s="8"/>
      <c r="CW3" s="7"/>
      <c r="CY3" s="8"/>
      <c r="CZ3" s="7"/>
      <c r="DB3" s="8"/>
      <c r="DC3" s="7"/>
      <c r="DE3" s="8"/>
      <c r="DF3" s="7"/>
      <c r="DH3" s="8"/>
      <c r="DI3" s="7"/>
      <c r="DK3" s="8"/>
      <c r="DL3" s="7"/>
      <c r="DN3" s="8"/>
      <c r="DO3" s="7"/>
      <c r="DQ3" s="8"/>
      <c r="DR3" s="7"/>
      <c r="DT3" s="8"/>
      <c r="DU3" s="7"/>
      <c r="DW3" s="8"/>
      <c r="DX3" s="7"/>
      <c r="DZ3" s="8"/>
      <c r="EA3" s="7"/>
      <c r="EC3" s="8"/>
      <c r="ED3" s="7"/>
      <c r="EF3" s="8"/>
      <c r="EG3" s="7"/>
      <c r="EI3" s="8"/>
      <c r="EJ3" s="7"/>
      <c r="EL3" s="8"/>
      <c r="EM3" s="7"/>
      <c r="EO3" s="8"/>
      <c r="EP3" s="7"/>
      <c r="ER3" s="8"/>
      <c r="ES3" s="7"/>
      <c r="EU3" s="8"/>
      <c r="EV3" s="7"/>
      <c r="EX3" s="8"/>
      <c r="EY3" s="7"/>
      <c r="FA3" s="8"/>
      <c r="FB3" s="7"/>
      <c r="FD3" s="8"/>
      <c r="FE3" s="7"/>
      <c r="FG3" s="8"/>
      <c r="FH3" s="7"/>
      <c r="FJ3" s="8"/>
      <c r="FK3" s="7"/>
      <c r="FM3" s="8"/>
      <c r="FN3" s="7"/>
      <c r="FP3" s="8"/>
      <c r="FQ3" s="7"/>
      <c r="FS3" s="8"/>
      <c r="FT3" s="7"/>
      <c r="FV3" s="8"/>
      <c r="FW3" s="7"/>
      <c r="FY3" s="8"/>
      <c r="FZ3" s="7"/>
      <c r="GB3" s="8"/>
      <c r="GC3" s="7"/>
      <c r="GE3" s="8"/>
      <c r="GF3" s="7"/>
      <c r="GH3" s="8"/>
      <c r="GI3" s="7"/>
      <c r="GK3" s="8"/>
      <c r="GL3" s="7"/>
      <c r="GN3" s="8"/>
      <c r="GO3" s="7"/>
      <c r="GQ3" s="8"/>
      <c r="GR3" s="7"/>
      <c r="GT3" s="8"/>
      <c r="GU3" s="7"/>
      <c r="GW3" s="8"/>
      <c r="GX3" s="7"/>
      <c r="GZ3" s="8"/>
      <c r="HA3" s="7"/>
      <c r="HC3" s="8"/>
      <c r="HD3" s="7"/>
      <c r="HF3" s="8"/>
      <c r="HG3" s="7"/>
      <c r="HI3" s="8"/>
      <c r="HJ3" s="7"/>
      <c r="HL3" s="8"/>
      <c r="HM3" s="7"/>
    </row>
    <row r="4" spans="1:221" ht="36.75" customHeight="1">
      <c r="A4" s="44" t="s">
        <v>39</v>
      </c>
      <c r="B4" s="4" t="e">
        <f>#REF!*1936.27</f>
        <v>#REF!</v>
      </c>
      <c r="C4" s="45">
        <f>169.1*13</f>
        <v>2198.2999999999997</v>
      </c>
      <c r="D4" s="45">
        <f>C4*38.38/100</f>
        <v>843.70754</v>
      </c>
      <c r="E4" s="4">
        <v>245</v>
      </c>
      <c r="F4" s="6">
        <f>C4*E4</f>
        <v>538583.4999999999</v>
      </c>
      <c r="G4" s="5">
        <f>F2+F3</f>
        <v>414580.608</v>
      </c>
      <c r="H4" s="7">
        <f>G4/138.38*100</f>
        <v>299595.7566122272</v>
      </c>
      <c r="J4" s="8"/>
      <c r="K4" s="7"/>
      <c r="M4" s="8"/>
      <c r="N4" s="7"/>
      <c r="P4" s="8"/>
      <c r="Q4" s="7"/>
      <c r="S4" s="8"/>
      <c r="T4" s="7"/>
      <c r="V4" s="8"/>
      <c r="W4" s="7"/>
      <c r="Y4" s="8"/>
      <c r="Z4" s="7"/>
      <c r="AB4" s="8"/>
      <c r="AC4" s="7"/>
      <c r="AE4" s="8"/>
      <c r="AF4" s="7"/>
      <c r="AH4" s="8"/>
      <c r="AI4" s="7"/>
      <c r="AK4" s="8"/>
      <c r="AL4" s="7"/>
      <c r="AN4" s="8"/>
      <c r="AO4" s="7"/>
      <c r="AQ4" s="8"/>
      <c r="AR4" s="7"/>
      <c r="AT4" s="8"/>
      <c r="AU4" s="7"/>
      <c r="AW4" s="8"/>
      <c r="AX4" s="7"/>
      <c r="AZ4" s="8"/>
      <c r="BA4" s="7"/>
      <c r="BC4" s="8"/>
      <c r="BD4" s="7"/>
      <c r="BF4" s="8"/>
      <c r="BG4" s="7"/>
      <c r="BI4" s="8"/>
      <c r="BJ4" s="7"/>
      <c r="BL4" s="8"/>
      <c r="BM4" s="7"/>
      <c r="BO4" s="8"/>
      <c r="BP4" s="7"/>
      <c r="BR4" s="8"/>
      <c r="BS4" s="7"/>
      <c r="BU4" s="8"/>
      <c r="BV4" s="7"/>
      <c r="BX4" s="8"/>
      <c r="BY4" s="7"/>
      <c r="CA4" s="8"/>
      <c r="CB4" s="7"/>
      <c r="CD4" s="8"/>
      <c r="CE4" s="7"/>
      <c r="CG4" s="8"/>
      <c r="CH4" s="7"/>
      <c r="CJ4" s="8"/>
      <c r="CK4" s="7"/>
      <c r="CM4" s="8"/>
      <c r="CN4" s="7"/>
      <c r="CP4" s="8"/>
      <c r="CQ4" s="7"/>
      <c r="CS4" s="8"/>
      <c r="CT4" s="7"/>
      <c r="CV4" s="8"/>
      <c r="CW4" s="7"/>
      <c r="CY4" s="8"/>
      <c r="CZ4" s="7"/>
      <c r="DB4" s="8"/>
      <c r="DC4" s="7"/>
      <c r="DE4" s="8"/>
      <c r="DF4" s="7"/>
      <c r="DH4" s="8"/>
      <c r="DI4" s="7"/>
      <c r="DK4" s="8"/>
      <c r="DL4" s="7"/>
      <c r="DN4" s="8"/>
      <c r="DO4" s="7"/>
      <c r="DQ4" s="8"/>
      <c r="DR4" s="7"/>
      <c r="DT4" s="8"/>
      <c r="DU4" s="7"/>
      <c r="DW4" s="8"/>
      <c r="DX4" s="7"/>
      <c r="DZ4" s="8"/>
      <c r="EA4" s="7"/>
      <c r="EC4" s="8"/>
      <c r="ED4" s="7"/>
      <c r="EF4" s="8"/>
      <c r="EG4" s="7"/>
      <c r="EI4" s="8"/>
      <c r="EJ4" s="7"/>
      <c r="EL4" s="8"/>
      <c r="EM4" s="7"/>
      <c r="EO4" s="8"/>
      <c r="EP4" s="7"/>
      <c r="ER4" s="8"/>
      <c r="ES4" s="7"/>
      <c r="EU4" s="8"/>
      <c r="EV4" s="7"/>
      <c r="EX4" s="8"/>
      <c r="EY4" s="7"/>
      <c r="FA4" s="8"/>
      <c r="FB4" s="7"/>
      <c r="FD4" s="8"/>
      <c r="FE4" s="7"/>
      <c r="FG4" s="8"/>
      <c r="FH4" s="7"/>
      <c r="FJ4" s="8"/>
      <c r="FK4" s="7"/>
      <c r="FM4" s="8"/>
      <c r="FN4" s="7"/>
      <c r="FP4" s="8"/>
      <c r="FQ4" s="7"/>
      <c r="FS4" s="8"/>
      <c r="FT4" s="7"/>
      <c r="FV4" s="8"/>
      <c r="FW4" s="7"/>
      <c r="FY4" s="8"/>
      <c r="FZ4" s="7"/>
      <c r="GB4" s="8"/>
      <c r="GC4" s="7"/>
      <c r="GE4" s="8"/>
      <c r="GF4" s="7"/>
      <c r="GH4" s="8"/>
      <c r="GI4" s="7"/>
      <c r="GK4" s="8"/>
      <c r="GL4" s="7"/>
      <c r="GN4" s="8"/>
      <c r="GO4" s="7"/>
      <c r="GQ4" s="8"/>
      <c r="GR4" s="7"/>
      <c r="GT4" s="8"/>
      <c r="GU4" s="7"/>
      <c r="GW4" s="8"/>
      <c r="GX4" s="7"/>
      <c r="GZ4" s="8"/>
      <c r="HA4" s="7"/>
      <c r="HC4" s="8"/>
      <c r="HD4" s="7"/>
      <c r="HF4" s="8"/>
      <c r="HG4" s="7"/>
      <c r="HI4" s="8"/>
      <c r="HJ4" s="7"/>
      <c r="HL4" s="8"/>
      <c r="HM4" s="7"/>
    </row>
    <row r="5" spans="1:221" ht="33.75" customHeight="1">
      <c r="A5" s="44" t="s">
        <v>40</v>
      </c>
      <c r="B5" s="4" t="e">
        <f>#REF!*1936.27</f>
        <v>#REF!</v>
      </c>
      <c r="C5" s="45">
        <f>209.1*13</f>
        <v>2718.2999999999997</v>
      </c>
      <c r="D5" s="45">
        <f>C5*38.38/100</f>
        <v>1043.28354</v>
      </c>
      <c r="E5" s="4">
        <v>245</v>
      </c>
      <c r="F5" s="6">
        <f>C5*E5</f>
        <v>665983.4999999999</v>
      </c>
      <c r="H5" s="7"/>
      <c r="J5" s="8"/>
      <c r="K5" s="7"/>
      <c r="M5" s="8"/>
      <c r="N5" s="7"/>
      <c r="P5" s="8"/>
      <c r="Q5" s="7"/>
      <c r="S5" s="8"/>
      <c r="T5" s="7"/>
      <c r="V5" s="8"/>
      <c r="W5" s="7"/>
      <c r="Y5" s="8"/>
      <c r="Z5" s="7"/>
      <c r="AB5" s="8"/>
      <c r="AC5" s="7"/>
      <c r="AE5" s="8"/>
      <c r="AF5" s="7"/>
      <c r="AH5" s="8"/>
      <c r="AI5" s="7"/>
      <c r="AK5" s="8"/>
      <c r="AL5" s="7"/>
      <c r="AN5" s="8"/>
      <c r="AO5" s="7"/>
      <c r="AQ5" s="8"/>
      <c r="AR5" s="7"/>
      <c r="AT5" s="8"/>
      <c r="AU5" s="7"/>
      <c r="AW5" s="8"/>
      <c r="AX5" s="7"/>
      <c r="AZ5" s="8"/>
      <c r="BA5" s="7"/>
      <c r="BC5" s="8"/>
      <c r="BD5" s="7"/>
      <c r="BF5" s="8"/>
      <c r="BG5" s="7"/>
      <c r="BI5" s="8"/>
      <c r="BJ5" s="7"/>
      <c r="BL5" s="8"/>
      <c r="BM5" s="7"/>
      <c r="BO5" s="8"/>
      <c r="BP5" s="7"/>
      <c r="BR5" s="8"/>
      <c r="BS5" s="7"/>
      <c r="BU5" s="8"/>
      <c r="BV5" s="7"/>
      <c r="BX5" s="8"/>
      <c r="BY5" s="7"/>
      <c r="CA5" s="8"/>
      <c r="CB5" s="7"/>
      <c r="CD5" s="8"/>
      <c r="CE5" s="7"/>
      <c r="CG5" s="8"/>
      <c r="CH5" s="7"/>
      <c r="CJ5" s="8"/>
      <c r="CK5" s="7"/>
      <c r="CM5" s="8"/>
      <c r="CN5" s="7"/>
      <c r="CP5" s="8"/>
      <c r="CQ5" s="7"/>
      <c r="CS5" s="8"/>
      <c r="CT5" s="7"/>
      <c r="CV5" s="8"/>
      <c r="CW5" s="7"/>
      <c r="CY5" s="8"/>
      <c r="CZ5" s="7"/>
      <c r="DB5" s="8"/>
      <c r="DC5" s="7"/>
      <c r="DE5" s="8"/>
      <c r="DF5" s="7"/>
      <c r="DH5" s="8"/>
      <c r="DI5" s="7"/>
      <c r="DK5" s="8"/>
      <c r="DL5" s="7"/>
      <c r="DN5" s="8"/>
      <c r="DO5" s="7"/>
      <c r="DQ5" s="8"/>
      <c r="DR5" s="7"/>
      <c r="DT5" s="8"/>
      <c r="DU5" s="7"/>
      <c r="DW5" s="8"/>
      <c r="DX5" s="7"/>
      <c r="DZ5" s="8"/>
      <c r="EA5" s="7"/>
      <c r="EC5" s="8"/>
      <c r="ED5" s="7"/>
      <c r="EF5" s="8"/>
      <c r="EG5" s="7"/>
      <c r="EI5" s="8"/>
      <c r="EJ5" s="7"/>
      <c r="EL5" s="8"/>
      <c r="EM5" s="7"/>
      <c r="EO5" s="8"/>
      <c r="EP5" s="7"/>
      <c r="ER5" s="8"/>
      <c r="ES5" s="7"/>
      <c r="EU5" s="8"/>
      <c r="EV5" s="7"/>
      <c r="EX5" s="8"/>
      <c r="EY5" s="7"/>
      <c r="FA5" s="8"/>
      <c r="FB5" s="7"/>
      <c r="FD5" s="8"/>
      <c r="FE5" s="7"/>
      <c r="FG5" s="8"/>
      <c r="FH5" s="7"/>
      <c r="FJ5" s="8"/>
      <c r="FK5" s="7"/>
      <c r="FM5" s="8"/>
      <c r="FN5" s="7"/>
      <c r="FP5" s="8"/>
      <c r="FQ5" s="7"/>
      <c r="FS5" s="8"/>
      <c r="FT5" s="7"/>
      <c r="FV5" s="8"/>
      <c r="FW5" s="7"/>
      <c r="FY5" s="8"/>
      <c r="FZ5" s="7"/>
      <c r="GB5" s="8"/>
      <c r="GC5" s="7"/>
      <c r="GE5" s="8"/>
      <c r="GF5" s="7"/>
      <c r="GH5" s="8"/>
      <c r="GI5" s="7"/>
      <c r="GK5" s="8"/>
      <c r="GL5" s="7"/>
      <c r="GN5" s="8"/>
      <c r="GO5" s="7"/>
      <c r="GQ5" s="8"/>
      <c r="GR5" s="7"/>
      <c r="GT5" s="8"/>
      <c r="GU5" s="7"/>
      <c r="GW5" s="8"/>
      <c r="GX5" s="7"/>
      <c r="GZ5" s="8"/>
      <c r="HA5" s="7"/>
      <c r="HC5" s="8"/>
      <c r="HD5" s="7"/>
      <c r="HF5" s="8"/>
      <c r="HG5" s="7"/>
      <c r="HI5" s="8"/>
      <c r="HJ5" s="7"/>
      <c r="HL5" s="8"/>
      <c r="HM5" s="7"/>
    </row>
    <row r="6" spans="1:221" ht="37.5" customHeight="1">
      <c r="A6" s="44" t="s">
        <v>41</v>
      </c>
      <c r="B6" s="4"/>
      <c r="C6" s="45">
        <f>55.9*13</f>
        <v>726.6999999999999</v>
      </c>
      <c r="D6" s="45">
        <f>C6*38.38/100</f>
        <v>278.90746</v>
      </c>
      <c r="E6" s="4">
        <v>245</v>
      </c>
      <c r="F6" s="6">
        <f>C6*E6</f>
        <v>178041.49999999997</v>
      </c>
      <c r="G6" s="5">
        <f>F4+F5+F6</f>
        <v>1382608.4999999998</v>
      </c>
      <c r="H6" s="7">
        <f>G6/138.38*100</f>
        <v>999138.9651683768</v>
      </c>
      <c r="J6" s="8"/>
      <c r="K6" s="7"/>
      <c r="M6" s="8"/>
      <c r="N6" s="7"/>
      <c r="P6" s="8"/>
      <c r="Q6" s="7"/>
      <c r="S6" s="8"/>
      <c r="T6" s="7"/>
      <c r="V6" s="8"/>
      <c r="W6" s="7"/>
      <c r="Y6" s="8"/>
      <c r="Z6" s="7"/>
      <c r="AB6" s="8"/>
      <c r="AC6" s="7"/>
      <c r="AE6" s="8"/>
      <c r="AF6" s="7"/>
      <c r="AH6" s="8"/>
      <c r="AI6" s="7"/>
      <c r="AK6" s="8"/>
      <c r="AL6" s="7"/>
      <c r="AN6" s="8"/>
      <c r="AO6" s="7"/>
      <c r="AQ6" s="8"/>
      <c r="AR6" s="7"/>
      <c r="AT6" s="8"/>
      <c r="AU6" s="7"/>
      <c r="AW6" s="8"/>
      <c r="AX6" s="7"/>
      <c r="AZ6" s="8"/>
      <c r="BA6" s="7"/>
      <c r="BC6" s="8"/>
      <c r="BD6" s="7"/>
      <c r="BF6" s="8"/>
      <c r="BG6" s="7"/>
      <c r="BI6" s="8"/>
      <c r="BJ6" s="7"/>
      <c r="BL6" s="8"/>
      <c r="BM6" s="7"/>
      <c r="BO6" s="8"/>
      <c r="BP6" s="7"/>
      <c r="BR6" s="8"/>
      <c r="BS6" s="7"/>
      <c r="BU6" s="8"/>
      <c r="BV6" s="7"/>
      <c r="BX6" s="8"/>
      <c r="BY6" s="7"/>
      <c r="CA6" s="8"/>
      <c r="CB6" s="7"/>
      <c r="CD6" s="8"/>
      <c r="CE6" s="7"/>
      <c r="CG6" s="8"/>
      <c r="CH6" s="7"/>
      <c r="CJ6" s="8"/>
      <c r="CK6" s="7"/>
      <c r="CM6" s="8"/>
      <c r="CN6" s="7"/>
      <c r="CP6" s="8"/>
      <c r="CQ6" s="7"/>
      <c r="CS6" s="8"/>
      <c r="CT6" s="7"/>
      <c r="CV6" s="8"/>
      <c r="CW6" s="7"/>
      <c r="CY6" s="8"/>
      <c r="CZ6" s="7"/>
      <c r="DB6" s="8"/>
      <c r="DC6" s="7"/>
      <c r="DE6" s="8"/>
      <c r="DF6" s="7"/>
      <c r="DH6" s="8"/>
      <c r="DI6" s="7"/>
      <c r="DK6" s="8"/>
      <c r="DL6" s="7"/>
      <c r="DN6" s="8"/>
      <c r="DO6" s="7"/>
      <c r="DQ6" s="8"/>
      <c r="DR6" s="7"/>
      <c r="DT6" s="8"/>
      <c r="DU6" s="7"/>
      <c r="DW6" s="8"/>
      <c r="DX6" s="7"/>
      <c r="DZ6" s="8"/>
      <c r="EA6" s="7"/>
      <c r="EC6" s="8"/>
      <c r="ED6" s="7"/>
      <c r="EF6" s="8"/>
      <c r="EG6" s="7"/>
      <c r="EI6" s="8"/>
      <c r="EJ6" s="7"/>
      <c r="EL6" s="8"/>
      <c r="EM6" s="7"/>
      <c r="EO6" s="8"/>
      <c r="EP6" s="7"/>
      <c r="ER6" s="8"/>
      <c r="ES6" s="7"/>
      <c r="EU6" s="8"/>
      <c r="EV6" s="7"/>
      <c r="EX6" s="8"/>
      <c r="EY6" s="7"/>
      <c r="FA6" s="8"/>
      <c r="FB6" s="7"/>
      <c r="FD6" s="8"/>
      <c r="FE6" s="7"/>
      <c r="FG6" s="8"/>
      <c r="FH6" s="7"/>
      <c r="FJ6" s="8"/>
      <c r="FK6" s="7"/>
      <c r="FM6" s="8"/>
      <c r="FN6" s="7"/>
      <c r="FP6" s="8"/>
      <c r="FQ6" s="7"/>
      <c r="FS6" s="8"/>
      <c r="FT6" s="7"/>
      <c r="FV6" s="8"/>
      <c r="FW6" s="7"/>
      <c r="FY6" s="8"/>
      <c r="FZ6" s="7"/>
      <c r="GB6" s="8"/>
      <c r="GC6" s="7"/>
      <c r="GE6" s="8"/>
      <c r="GF6" s="7"/>
      <c r="GH6" s="8"/>
      <c r="GI6" s="7"/>
      <c r="GK6" s="8"/>
      <c r="GL6" s="7"/>
      <c r="GN6" s="8"/>
      <c r="GO6" s="7"/>
      <c r="GQ6" s="8"/>
      <c r="GR6" s="7"/>
      <c r="GT6" s="8"/>
      <c r="GU6" s="7"/>
      <c r="GW6" s="8"/>
      <c r="GX6" s="7"/>
      <c r="GZ6" s="8"/>
      <c r="HA6" s="7"/>
      <c r="HC6" s="8"/>
      <c r="HD6" s="7"/>
      <c r="HF6" s="8"/>
      <c r="HG6" s="7"/>
      <c r="HI6" s="8"/>
      <c r="HJ6" s="7"/>
      <c r="HL6" s="8"/>
      <c r="HM6" s="7"/>
    </row>
    <row r="7" spans="1:221" ht="15" customHeight="1">
      <c r="A7" s="46" t="s">
        <v>42</v>
      </c>
      <c r="B7" s="4" t="e">
        <f>#REF!+#REF!+B2+B3+B4+B5</f>
        <v>#REF!</v>
      </c>
      <c r="C7" s="45">
        <f>SUM(C2:C6)</f>
        <v>7685.599999999999</v>
      </c>
      <c r="D7" s="45">
        <f>SUM(D2:D6)</f>
        <v>2949.73328</v>
      </c>
      <c r="E7" s="45"/>
      <c r="F7" s="6">
        <f>SUM(F2:F6)</f>
        <v>1797189.1079999998</v>
      </c>
      <c r="H7" s="7"/>
      <c r="J7" s="8"/>
      <c r="K7" s="7"/>
      <c r="M7" s="8"/>
      <c r="N7" s="7"/>
      <c r="P7" s="8"/>
      <c r="Q7" s="7"/>
      <c r="S7" s="8"/>
      <c r="T7" s="7"/>
      <c r="V7" s="8"/>
      <c r="W7" s="7"/>
      <c r="Y7" s="8"/>
      <c r="Z7" s="7"/>
      <c r="AB7" s="8"/>
      <c r="AC7" s="7"/>
      <c r="AE7" s="8"/>
      <c r="AF7" s="7"/>
      <c r="AH7" s="8"/>
      <c r="AI7" s="7"/>
      <c r="AK7" s="8"/>
      <c r="AL7" s="7"/>
      <c r="AN7" s="8"/>
      <c r="AO7" s="7"/>
      <c r="AQ7" s="8"/>
      <c r="AR7" s="7"/>
      <c r="AT7" s="8"/>
      <c r="AU7" s="7"/>
      <c r="AW7" s="8"/>
      <c r="AX7" s="7"/>
      <c r="AZ7" s="8"/>
      <c r="BA7" s="7"/>
      <c r="BC7" s="8"/>
      <c r="BD7" s="7"/>
      <c r="BF7" s="8"/>
      <c r="BG7" s="7"/>
      <c r="BI7" s="8"/>
      <c r="BJ7" s="7"/>
      <c r="BL7" s="8"/>
      <c r="BM7" s="7"/>
      <c r="BO7" s="8"/>
      <c r="BP7" s="7"/>
      <c r="BR7" s="8"/>
      <c r="BS7" s="7"/>
      <c r="BU7" s="8"/>
      <c r="BV7" s="7"/>
      <c r="BX7" s="8"/>
      <c r="BY7" s="7"/>
      <c r="CA7" s="8"/>
      <c r="CB7" s="7"/>
      <c r="CD7" s="8"/>
      <c r="CE7" s="7"/>
      <c r="CG7" s="8"/>
      <c r="CH7" s="7"/>
      <c r="CJ7" s="8"/>
      <c r="CK7" s="7"/>
      <c r="CM7" s="8"/>
      <c r="CN7" s="7"/>
      <c r="CP7" s="8"/>
      <c r="CQ7" s="7"/>
      <c r="CS7" s="8"/>
      <c r="CT7" s="7"/>
      <c r="CV7" s="8"/>
      <c r="CW7" s="7"/>
      <c r="CY7" s="8"/>
      <c r="CZ7" s="7"/>
      <c r="DB7" s="8"/>
      <c r="DC7" s="7"/>
      <c r="DE7" s="8"/>
      <c r="DF7" s="7"/>
      <c r="DH7" s="8"/>
      <c r="DI7" s="7"/>
      <c r="DK7" s="8"/>
      <c r="DL7" s="7"/>
      <c r="DN7" s="8"/>
      <c r="DO7" s="7"/>
      <c r="DQ7" s="8"/>
      <c r="DR7" s="7"/>
      <c r="DT7" s="8"/>
      <c r="DU7" s="7"/>
      <c r="DW7" s="8"/>
      <c r="DX7" s="7"/>
      <c r="DZ7" s="8"/>
      <c r="EA7" s="7"/>
      <c r="EC7" s="8"/>
      <c r="ED7" s="7"/>
      <c r="EF7" s="8"/>
      <c r="EG7" s="7"/>
      <c r="EI7" s="8"/>
      <c r="EJ7" s="7"/>
      <c r="EL7" s="8"/>
      <c r="EM7" s="7"/>
      <c r="EO7" s="8"/>
      <c r="EP7" s="7"/>
      <c r="ER7" s="8"/>
      <c r="ES7" s="7"/>
      <c r="EU7" s="8"/>
      <c r="EV7" s="7"/>
      <c r="EX7" s="8"/>
      <c r="EY7" s="7"/>
      <c r="FA7" s="8"/>
      <c r="FB7" s="7"/>
      <c r="FD7" s="8"/>
      <c r="FE7" s="7"/>
      <c r="FG7" s="8"/>
      <c r="FH7" s="7"/>
      <c r="FJ7" s="8"/>
      <c r="FK7" s="7"/>
      <c r="FM7" s="8"/>
      <c r="FN7" s="7"/>
      <c r="FP7" s="8"/>
      <c r="FQ7" s="7"/>
      <c r="FS7" s="8"/>
      <c r="FT7" s="7"/>
      <c r="FV7" s="8"/>
      <c r="FW7" s="7"/>
      <c r="FY7" s="8"/>
      <c r="FZ7" s="7"/>
      <c r="GB7" s="8"/>
      <c r="GC7" s="7"/>
      <c r="GE7" s="8"/>
      <c r="GF7" s="7"/>
      <c r="GH7" s="8"/>
      <c r="GI7" s="7"/>
      <c r="GK7" s="8"/>
      <c r="GL7" s="7"/>
      <c r="GN7" s="8"/>
      <c r="GO7" s="7"/>
      <c r="GQ7" s="8"/>
      <c r="GR7" s="7"/>
      <c r="GT7" s="8"/>
      <c r="GU7" s="7"/>
      <c r="GW7" s="8"/>
      <c r="GX7" s="7"/>
      <c r="GZ7" s="8"/>
      <c r="HA7" s="7"/>
      <c r="HC7" s="8"/>
      <c r="HD7" s="7"/>
      <c r="HF7" s="8"/>
      <c r="HG7" s="7"/>
      <c r="HI7" s="8"/>
      <c r="HJ7" s="7"/>
      <c r="HL7" s="8"/>
      <c r="HM7" s="7"/>
    </row>
    <row r="8" ht="15">
      <c r="H8" s="5">
        <f>H4+H6</f>
        <v>1298734.721780604</v>
      </c>
    </row>
    <row r="10" ht="15">
      <c r="G10" s="5"/>
    </row>
  </sheetData>
  <sheetProtection/>
  <printOptions horizontalCentered="1" verticalCentered="1"/>
  <pageMargins left="0.73" right="0.7874015748031497" top="2.63" bottom="0.52" header="2.08" footer="0.5118110236220472"/>
  <pageSetup horizontalDpi="600" verticalDpi="600" orientation="landscape" paperSize="9" r:id="rId1"/>
  <headerFooter alignWithMargins="0">
    <oddHeader>&amp;CREFERENDARI E DIRIGENTI II FASCIA DEL RUOLO SPECIALE TECNICO - AMMINISTRATIVO DELLA PROTEZIONE CIVILE
FONDO PER LA RETRIBUZIONE DI POSIZIONE E DI RISULTATO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9">
      <selection activeCell="G15" sqref="G15"/>
    </sheetView>
  </sheetViews>
  <sheetFormatPr defaultColWidth="9.140625" defaultRowHeight="12.75"/>
  <cols>
    <col min="1" max="1" width="7.421875" style="0" customWidth="1"/>
    <col min="2" max="2" width="22.57421875" style="0" customWidth="1"/>
    <col min="3" max="3" width="20.57421875" style="34" customWidth="1"/>
    <col min="4" max="4" width="17.7109375" style="34" customWidth="1"/>
    <col min="5" max="5" width="21.8515625" style="34" customWidth="1"/>
    <col min="6" max="6" width="19.140625" style="34" customWidth="1"/>
    <col min="7" max="7" width="18.421875" style="0" customWidth="1"/>
    <col min="8" max="8" width="23.57421875" style="0" customWidth="1"/>
  </cols>
  <sheetData>
    <row r="1" spans="2:8" ht="25.5" customHeight="1">
      <c r="B1" s="52" t="s">
        <v>18</v>
      </c>
      <c r="C1" s="53"/>
      <c r="D1" s="53"/>
      <c r="E1" s="53"/>
      <c r="F1" s="53"/>
      <c r="G1" s="28"/>
      <c r="H1" s="29"/>
    </row>
    <row r="2" spans="2:8" ht="25.5" customHeight="1">
      <c r="B2" s="54">
        <v>39083</v>
      </c>
      <c r="C2" s="55"/>
      <c r="D2" s="55"/>
      <c r="E2" s="55"/>
      <c r="F2" s="55"/>
      <c r="G2" s="28"/>
      <c r="H2" s="29"/>
    </row>
    <row r="3" spans="2:6" ht="12.75">
      <c r="B3" s="30" t="s">
        <v>19</v>
      </c>
      <c r="C3" s="30" t="s">
        <v>20</v>
      </c>
      <c r="D3" s="30" t="s">
        <v>21</v>
      </c>
      <c r="E3" s="30" t="s">
        <v>22</v>
      </c>
      <c r="F3" s="30" t="s">
        <v>23</v>
      </c>
    </row>
    <row r="4" spans="2:6" ht="12.75">
      <c r="B4" s="31">
        <v>75109.2</v>
      </c>
      <c r="C4" s="32">
        <f>2.01-0.69</f>
        <v>1.3199999999999998</v>
      </c>
      <c r="D4" s="30">
        <f>B4*C4/100</f>
        <v>991.4414399999998</v>
      </c>
      <c r="E4" s="30">
        <v>0.69</v>
      </c>
      <c r="F4" s="30">
        <f>B4*E4/100</f>
        <v>518.2534799999999</v>
      </c>
    </row>
    <row r="5" spans="1:8" ht="12.75">
      <c r="A5" t="s">
        <v>24</v>
      </c>
      <c r="B5" s="33">
        <v>226</v>
      </c>
      <c r="H5" s="34"/>
    </row>
    <row r="6" spans="2:7" ht="14.25" customHeight="1">
      <c r="B6" s="50">
        <v>39447</v>
      </c>
      <c r="C6" s="51"/>
      <c r="D6" s="51"/>
      <c r="E6" s="51"/>
      <c r="F6" s="51"/>
      <c r="G6" s="35"/>
    </row>
    <row r="7" spans="2:6" ht="14.25" customHeight="1">
      <c r="B7" s="30" t="s">
        <v>19</v>
      </c>
      <c r="C7" s="30" t="s">
        <v>20</v>
      </c>
      <c r="D7" s="30" t="s">
        <v>21</v>
      </c>
      <c r="E7" s="30" t="s">
        <v>22</v>
      </c>
      <c r="F7" s="30" t="s">
        <v>23</v>
      </c>
    </row>
    <row r="8" spans="2:6" ht="14.25" customHeight="1">
      <c r="B8" s="31">
        <v>75109.2</v>
      </c>
      <c r="C8" s="32">
        <f>2.4-0.69</f>
        <v>1.71</v>
      </c>
      <c r="D8" s="30">
        <f>B8*C8/100</f>
        <v>1284.3673199999998</v>
      </c>
      <c r="E8" s="30">
        <v>0.69</v>
      </c>
      <c r="F8" s="30">
        <f>B8*E8/100</f>
        <v>518.2534799999999</v>
      </c>
    </row>
    <row r="9" spans="2:7" ht="12.75">
      <c r="B9" s="33">
        <v>226</v>
      </c>
      <c r="G9" s="36"/>
    </row>
    <row r="10" spans="2:7" ht="12.75">
      <c r="B10" s="50">
        <v>39814</v>
      </c>
      <c r="C10" s="51"/>
      <c r="D10" s="51"/>
      <c r="E10" s="51"/>
      <c r="F10" s="51"/>
      <c r="G10" s="36"/>
    </row>
    <row r="11" spans="2:8" ht="12.75">
      <c r="B11" s="30" t="s">
        <v>25</v>
      </c>
      <c r="C11" s="30" t="s">
        <v>20</v>
      </c>
      <c r="D11" s="30" t="s">
        <v>21</v>
      </c>
      <c r="E11" s="30" t="s">
        <v>22</v>
      </c>
      <c r="F11" s="30" t="s">
        <v>23</v>
      </c>
      <c r="G11" s="34"/>
      <c r="H11" s="34"/>
    </row>
    <row r="12" spans="2:8" ht="12.75">
      <c r="B12" s="37">
        <v>78752</v>
      </c>
      <c r="C12" s="32">
        <f>1.84-0.84</f>
        <v>1</v>
      </c>
      <c r="D12" s="30">
        <f>B12*C12/100</f>
        <v>787.52</v>
      </c>
      <c r="E12" s="32">
        <v>0.84</v>
      </c>
      <c r="F12" s="30">
        <f>B12*E12/100</f>
        <v>661.5167999999999</v>
      </c>
      <c r="G12" s="38"/>
      <c r="H12" s="34"/>
    </row>
    <row r="13" spans="1:2" ht="12.75">
      <c r="A13" t="s">
        <v>24</v>
      </c>
      <c r="B13" s="33">
        <v>228</v>
      </c>
    </row>
    <row r="14" spans="4:6" ht="12.75">
      <c r="D14"/>
      <c r="E14"/>
      <c r="F14"/>
    </row>
    <row r="15" spans="4:6" ht="12.75">
      <c r="D15"/>
      <c r="E15"/>
      <c r="F15"/>
    </row>
    <row r="16" spans="4:6" ht="12.75">
      <c r="D16"/>
      <c r="E16"/>
      <c r="F16"/>
    </row>
    <row r="17" spans="2:5" ht="38.25">
      <c r="B17" s="3" t="s">
        <v>26</v>
      </c>
      <c r="C17" s="31">
        <f>'II FASCIA'!D4*'II FASCIA'!B5</f>
        <v>224065.76543999996</v>
      </c>
      <c r="D17" s="3" t="s">
        <v>27</v>
      </c>
      <c r="E17" s="31">
        <f>F4*B5</f>
        <v>117125.28647999997</v>
      </c>
    </row>
    <row r="18" spans="2:7" ht="38.25">
      <c r="B18" s="3" t="s">
        <v>28</v>
      </c>
      <c r="C18" s="31">
        <f>D8*B9</f>
        <v>290267.01431999996</v>
      </c>
      <c r="D18" s="3" t="s">
        <v>29</v>
      </c>
      <c r="E18" s="31">
        <f>F8*B9</f>
        <v>117125.28647999997</v>
      </c>
      <c r="G18" s="34"/>
    </row>
    <row r="19" spans="2:7" ht="38.25">
      <c r="B19" s="3" t="s">
        <v>30</v>
      </c>
      <c r="C19" s="31">
        <f>D12*B13</f>
        <v>179554.56</v>
      </c>
      <c r="D19" s="3" t="s">
        <v>31</v>
      </c>
      <c r="E19" s="39">
        <f>F12*B13</f>
        <v>150825.83039999998</v>
      </c>
      <c r="G19" s="34"/>
    </row>
    <row r="20" spans="2:5" ht="64.5">
      <c r="B20" s="3" t="s">
        <v>32</v>
      </c>
      <c r="C20" s="40">
        <f>C17+C18+C19</f>
        <v>693887.3397599999</v>
      </c>
      <c r="D20" s="3" t="s">
        <v>33</v>
      </c>
      <c r="E20" s="40">
        <f>E18+E19</f>
        <v>267951.1168799999</v>
      </c>
    </row>
    <row r="21" spans="2:5" ht="12.75">
      <c r="B21" s="41"/>
      <c r="C21" s="39"/>
      <c r="D21" s="41"/>
      <c r="E21" s="39"/>
    </row>
    <row r="22" spans="2:5" ht="12.75">
      <c r="B22" s="41" t="s">
        <v>16</v>
      </c>
      <c r="C22" s="39">
        <f>C20*32.7/100</f>
        <v>226901.16010151998</v>
      </c>
      <c r="D22" s="41" t="s">
        <v>16</v>
      </c>
      <c r="E22" s="39">
        <f>E20*38.38/100</f>
        <v>102839.63865854398</v>
      </c>
    </row>
    <row r="23" spans="2:5" ht="15.75">
      <c r="B23" s="41" t="s">
        <v>34</v>
      </c>
      <c r="C23" s="40">
        <f>C20+C22</f>
        <v>920788.4998615199</v>
      </c>
      <c r="D23" s="41" t="s">
        <v>34</v>
      </c>
      <c r="E23" s="40">
        <f>E20+E22</f>
        <v>370790.7555385439</v>
      </c>
    </row>
    <row r="25" ht="12.75">
      <c r="C25" s="34">
        <f>C23/138.38*100</f>
        <v>665405.7666292238</v>
      </c>
    </row>
  </sheetData>
  <sheetProtection/>
  <mergeCells count="4">
    <mergeCell ref="B10:F10"/>
    <mergeCell ref="B1:F1"/>
    <mergeCell ref="B2:F2"/>
    <mergeCell ref="B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52.00390625" style="12" customWidth="1"/>
    <col min="2" max="2" width="17.00390625" style="12" customWidth="1"/>
    <col min="3" max="3" width="18.00390625" style="12" customWidth="1"/>
    <col min="4" max="4" width="9.140625" style="12" customWidth="1"/>
    <col min="5" max="5" width="15.8515625" style="12" customWidth="1"/>
    <col min="6" max="6" width="18.421875" style="12" customWidth="1"/>
    <col min="7" max="16384" width="9.140625" style="12" customWidth="1"/>
  </cols>
  <sheetData>
    <row r="1" spans="1:3" s="9" customFormat="1" ht="20.25" customHeight="1">
      <c r="A1" s="56" t="s">
        <v>49</v>
      </c>
      <c r="B1" s="57"/>
      <c r="C1" s="58"/>
    </row>
    <row r="2" spans="1:3" ht="12.75">
      <c r="A2" s="10"/>
      <c r="B2" s="13" t="s">
        <v>0</v>
      </c>
      <c r="C2" s="13" t="s">
        <v>50</v>
      </c>
    </row>
    <row r="3" spans="1:5" s="9" customFormat="1" ht="27" customHeight="1">
      <c r="A3" s="14" t="s">
        <v>1</v>
      </c>
      <c r="B3" s="49">
        <f>8371456.46/138.38*100</f>
        <v>6049614.438502674</v>
      </c>
      <c r="C3" s="49">
        <f>B3</f>
        <v>6049614.438502674</v>
      </c>
      <c r="E3" s="15"/>
    </row>
    <row r="4" spans="1:3" s="9" customFormat="1" ht="42" customHeight="1">
      <c r="A4" s="16" t="s">
        <v>2</v>
      </c>
      <c r="B4" s="11"/>
      <c r="C4" s="49">
        <f>incrementoccnl!H8</f>
        <v>1298734.721780604</v>
      </c>
    </row>
    <row r="5" spans="1:3" s="9" customFormat="1" ht="27" customHeight="1">
      <c r="A5" s="16" t="s">
        <v>7</v>
      </c>
      <c r="B5" s="11"/>
      <c r="C5" s="49">
        <f>'II FASCIA'!E20</f>
        <v>267951.1168799999</v>
      </c>
    </row>
    <row r="6" spans="1:6" s="9" customFormat="1" ht="27" customHeight="1">
      <c r="A6" s="16" t="s">
        <v>8</v>
      </c>
      <c r="B6" s="11"/>
      <c r="C6" s="49">
        <f>'II FASCIA'!C20</f>
        <v>693887.3397599999</v>
      </c>
      <c r="F6" s="15"/>
    </row>
    <row r="7" spans="1:6" s="9" customFormat="1" ht="24" customHeight="1">
      <c r="A7" s="17" t="s">
        <v>3</v>
      </c>
      <c r="B7" s="49">
        <f>413324.02/138.38*100</f>
        <v>298687.68608180375</v>
      </c>
      <c r="C7" s="49">
        <f>925329.22+'[1]riacessati '!$H$91+'[2]riacessati '!$H$100+'[4]riacessati '!$H$108</f>
        <v>952794.5908333333</v>
      </c>
      <c r="E7" s="15"/>
      <c r="F7" s="15"/>
    </row>
    <row r="8" spans="1:6" s="9" customFormat="1" ht="24" customHeight="1">
      <c r="A8" s="17" t="s">
        <v>48</v>
      </c>
      <c r="B8" s="49"/>
      <c r="C8" s="49">
        <f>(1202975.39+298614.89)</f>
        <v>1501590.2799999998</v>
      </c>
      <c r="E8" s="15"/>
      <c r="F8" s="15"/>
    </row>
    <row r="9" spans="1:6" s="9" customFormat="1" ht="24" customHeight="1">
      <c r="A9" s="18" t="s">
        <v>51</v>
      </c>
      <c r="B9" s="19">
        <v>0</v>
      </c>
      <c r="C9" s="49">
        <f>'[4]riacessati '!$G$120</f>
        <v>4500.131305555555</v>
      </c>
      <c r="E9" s="15"/>
      <c r="F9" s="15"/>
    </row>
    <row r="10" spans="1:6" s="9" customFormat="1" ht="24" customHeight="1">
      <c r="A10" s="17" t="s">
        <v>44</v>
      </c>
      <c r="B10" s="49"/>
      <c r="C10" s="49">
        <f>(1469055.84+431961.12)</f>
        <v>1901016.96</v>
      </c>
      <c r="E10" s="15"/>
      <c r="F10" s="15"/>
    </row>
    <row r="11" spans="1:6" s="9" customFormat="1" ht="24" customHeight="1">
      <c r="A11" s="22" t="s">
        <v>9</v>
      </c>
      <c r="B11" s="19"/>
      <c r="C11" s="49">
        <f>878000/138.38*100</f>
        <v>634484.752131811</v>
      </c>
      <c r="E11" s="15"/>
      <c r="F11" s="15"/>
    </row>
    <row r="12" spans="1:6" s="9" customFormat="1" ht="24" customHeight="1">
      <c r="A12" s="22" t="s">
        <v>53</v>
      </c>
      <c r="B12" s="19"/>
      <c r="C12" s="49">
        <f>'[3] 2014riduzione CESSATI'!$E$7+'[3] 2014riduzione CESSATI'!$F$7+'[3]11, 12 e 13  riduzione CESSATI'!$C$14+'[3]11, 12 e 13  riduzione CESSATI'!$D$14</f>
        <v>314672.29</v>
      </c>
      <c r="E12" s="15"/>
      <c r="F12" s="15"/>
    </row>
    <row r="13" spans="1:6" s="9" customFormat="1" ht="24" customHeight="1">
      <c r="A13" s="22" t="s">
        <v>43</v>
      </c>
      <c r="B13" s="19"/>
      <c r="C13" s="49">
        <v>1609950.1925000001</v>
      </c>
      <c r="E13" s="15"/>
      <c r="F13" s="15"/>
    </row>
    <row r="14" spans="1:5" ht="24" customHeight="1">
      <c r="A14" s="14" t="s">
        <v>45</v>
      </c>
      <c r="B14" s="20">
        <f>B3+B7</f>
        <v>6348302.124584477</v>
      </c>
      <c r="C14" s="20">
        <f>SUM(C3+C4+C5+C6+C7+C8+C9)-(C10+C11+C12+C13)</f>
        <v>6308948.424430354</v>
      </c>
      <c r="E14" s="21"/>
    </row>
    <row r="15" spans="1:5" ht="24" customHeight="1">
      <c r="A15" s="14" t="s">
        <v>16</v>
      </c>
      <c r="B15" s="20">
        <f>B14*38.38/100</f>
        <v>2436478.3554155226</v>
      </c>
      <c r="C15" s="20">
        <f>C14*38.38/100</f>
        <v>2421374.40529637</v>
      </c>
      <c r="E15" s="21"/>
    </row>
    <row r="16" spans="1:6" ht="21" customHeight="1">
      <c r="A16" s="14" t="s">
        <v>46</v>
      </c>
      <c r="B16" s="20">
        <f>B14+B15</f>
        <v>8784780.48</v>
      </c>
      <c r="C16" s="20">
        <f>C14+C15</f>
        <v>8730322.829726724</v>
      </c>
      <c r="E16" s="21"/>
      <c r="F16" s="21"/>
    </row>
    <row r="17" spans="1:3" ht="21" customHeight="1">
      <c r="A17" s="22" t="s">
        <v>52</v>
      </c>
      <c r="B17" s="19"/>
      <c r="C17" s="49"/>
    </row>
    <row r="18" spans="1:3" ht="20.25" customHeight="1">
      <c r="A18" s="14" t="s">
        <v>10</v>
      </c>
      <c r="B18" s="19"/>
      <c r="C18" s="49"/>
    </row>
    <row r="19" spans="1:3" ht="57" customHeight="1">
      <c r="A19" s="14" t="s">
        <v>4</v>
      </c>
      <c r="B19" s="23">
        <v>0</v>
      </c>
      <c r="C19" s="49">
        <v>1974781.103706</v>
      </c>
    </row>
    <row r="20" spans="1:3" ht="53.25" customHeight="1" thickBot="1">
      <c r="A20" s="14" t="s">
        <v>6</v>
      </c>
      <c r="B20" s="23"/>
      <c r="C20" s="49">
        <v>759437.4244499002</v>
      </c>
    </row>
    <row r="21" spans="1:3" ht="33" customHeight="1" thickBot="1">
      <c r="A21" s="24" t="s">
        <v>5</v>
      </c>
      <c r="B21" s="20"/>
      <c r="C21" s="20">
        <f>SUM(C16:C20)</f>
        <v>11464541.357882624</v>
      </c>
    </row>
    <row r="22" spans="1:5" ht="15" customHeight="1">
      <c r="A22" s="14" t="s">
        <v>17</v>
      </c>
      <c r="B22" s="25"/>
      <c r="C22" s="26">
        <f>C21*15/100</f>
        <v>1719681.2036823938</v>
      </c>
      <c r="E22" s="21"/>
    </row>
    <row r="23" spans="1:3" ht="40.5" customHeight="1">
      <c r="A23" s="59" t="s">
        <v>54</v>
      </c>
      <c r="B23" s="60"/>
      <c r="C23" s="61"/>
    </row>
    <row r="24" spans="1:6" ht="24" customHeight="1">
      <c r="A24" s="14" t="s">
        <v>15</v>
      </c>
      <c r="B24" s="25"/>
      <c r="C24" s="20"/>
      <c r="F24" s="21"/>
    </row>
    <row r="25" spans="1:6" ht="24" customHeight="1">
      <c r="A25" s="14" t="s">
        <v>11</v>
      </c>
      <c r="B25" s="27"/>
      <c r="C25" s="19"/>
      <c r="F25" s="21"/>
    </row>
    <row r="26" spans="1:3" ht="24" customHeight="1">
      <c r="A26" s="14" t="s">
        <v>47</v>
      </c>
      <c r="B26" s="27"/>
      <c r="C26" s="48"/>
    </row>
    <row r="27" spans="1:3" ht="24" customHeight="1">
      <c r="A27" s="11" t="s">
        <v>12</v>
      </c>
      <c r="B27" s="27"/>
      <c r="C27" s="20">
        <f>C24+C25+C26</f>
        <v>0</v>
      </c>
    </row>
    <row r="28" spans="1:3" ht="24" customHeight="1">
      <c r="A28" s="14" t="s">
        <v>13</v>
      </c>
      <c r="B28" s="11"/>
      <c r="C28" s="20"/>
    </row>
    <row r="29" spans="1:3" ht="24" customHeight="1">
      <c r="A29" s="14" t="s">
        <v>14</v>
      </c>
      <c r="B29" s="11"/>
      <c r="C29" s="20">
        <f>C28/132.7*100</f>
        <v>0</v>
      </c>
    </row>
    <row r="31" ht="12.75">
      <c r="E31" s="21"/>
    </row>
  </sheetData>
  <sheetProtection/>
  <mergeCells count="2">
    <mergeCell ref="A1:C1"/>
    <mergeCell ref="A23:C23"/>
  </mergeCells>
  <printOptions horizontalCentered="1"/>
  <pageMargins left="0.7480314960629921" right="0.7874015748031497" top="2.6377952755905514" bottom="0.984251968503937" header="1.9291338582677167" footer="0.5118110236220472"/>
  <pageSetup horizontalDpi="600" verticalDpi="600" orientation="portrait" paperSize="9" r:id="rId1"/>
  <headerFooter alignWithMargins="0">
    <oddHeader>&amp;CREFERENDARI E DIRIGENTI II FASCIA  DEL RUOLO SPECIALE TECNICO - AMMINISTRATIVO DELLA PROTEZIONE CIVILE
FONDO PER LA RETRIBUZIONE DI POSIZIONE E DI RISULTATO</oddHeader>
    <oddFooter>&amp;L&amp;"Arial,Corsivo"&amp;8pma/serv.comp.fisse e accessorie&amp;R&amp;"Arial,Corsivo"&amp;8&amp;D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9">
      <selection activeCell="F25" sqref="F25"/>
    </sheetView>
  </sheetViews>
  <sheetFormatPr defaultColWidth="9.140625" defaultRowHeight="12.75"/>
  <cols>
    <col min="1" max="1" width="52.00390625" style="12" customWidth="1"/>
    <col min="2" max="2" width="17.00390625" style="12" customWidth="1"/>
    <col min="3" max="3" width="18.00390625" style="12" customWidth="1"/>
    <col min="4" max="4" width="9.140625" style="12" customWidth="1"/>
    <col min="5" max="5" width="15.8515625" style="12" customWidth="1"/>
    <col min="6" max="6" width="18.421875" style="12" customWidth="1"/>
    <col min="7" max="16384" width="9.140625" style="12" customWidth="1"/>
  </cols>
  <sheetData>
    <row r="1" spans="1:3" s="9" customFormat="1" ht="20.25" customHeight="1">
      <c r="A1" s="56" t="s">
        <v>49</v>
      </c>
      <c r="B1" s="57"/>
      <c r="C1" s="58"/>
    </row>
    <row r="2" spans="1:3" ht="12.75">
      <c r="A2" s="10"/>
      <c r="B2" s="13" t="s">
        <v>0</v>
      </c>
      <c r="C2" s="13" t="s">
        <v>50</v>
      </c>
    </row>
    <row r="3" spans="1:5" s="9" customFormat="1" ht="27" customHeight="1">
      <c r="A3" s="14" t="s">
        <v>1</v>
      </c>
      <c r="B3" s="49">
        <f>8371456.46/138.38*100</f>
        <v>6049614.438502674</v>
      </c>
      <c r="C3" s="49">
        <f>B3</f>
        <v>6049614.438502674</v>
      </c>
      <c r="E3" s="15"/>
    </row>
    <row r="4" spans="1:3" s="9" customFormat="1" ht="42" customHeight="1">
      <c r="A4" s="16" t="s">
        <v>2</v>
      </c>
      <c r="B4" s="11"/>
      <c r="C4" s="49">
        <f>incrementoccnl!H8</f>
        <v>1298734.721780604</v>
      </c>
    </row>
    <row r="5" spans="1:3" s="9" customFormat="1" ht="27" customHeight="1">
      <c r="A5" s="16" t="s">
        <v>7</v>
      </c>
      <c r="B5" s="11"/>
      <c r="C5" s="49">
        <f>'II FASCIA'!E20</f>
        <v>267951.1168799999</v>
      </c>
    </row>
    <row r="6" spans="1:6" s="9" customFormat="1" ht="27" customHeight="1">
      <c r="A6" s="16" t="s">
        <v>8</v>
      </c>
      <c r="B6" s="11"/>
      <c r="C6" s="49">
        <f>'II FASCIA'!C20</f>
        <v>693887.3397599999</v>
      </c>
      <c r="F6" s="15"/>
    </row>
    <row r="7" spans="1:6" s="9" customFormat="1" ht="24" customHeight="1">
      <c r="A7" s="17" t="s">
        <v>3</v>
      </c>
      <c r="B7" s="49">
        <f>413324.02/138.38*100</f>
        <v>298687.68608180375</v>
      </c>
      <c r="C7" s="49">
        <f>925329.22+'[1]riacessati '!$H$91+'[2]riacessati '!$H$100+'[4]riacessati '!$H$108</f>
        <v>952794.5908333333</v>
      </c>
      <c r="E7" s="15"/>
      <c r="F7" s="15"/>
    </row>
    <row r="8" spans="1:6" s="9" customFormat="1" ht="24" customHeight="1">
      <c r="A8" s="17" t="s">
        <v>48</v>
      </c>
      <c r="B8" s="49"/>
      <c r="C8" s="49">
        <f>(1202975.39+298614.89)</f>
        <v>1501590.2799999998</v>
      </c>
      <c r="E8" s="15"/>
      <c r="F8" s="15"/>
    </row>
    <row r="9" spans="1:6" s="9" customFormat="1" ht="24" customHeight="1">
      <c r="A9" s="18" t="s">
        <v>51</v>
      </c>
      <c r="B9" s="19">
        <v>0</v>
      </c>
      <c r="C9" s="49">
        <f>'[4]riacessati '!$G$120</f>
        <v>4500.131305555555</v>
      </c>
      <c r="E9" s="15"/>
      <c r="F9" s="15"/>
    </row>
    <row r="10" spans="1:6" s="9" customFormat="1" ht="24" customHeight="1">
      <c r="A10" s="17" t="s">
        <v>44</v>
      </c>
      <c r="B10" s="49"/>
      <c r="C10" s="20">
        <f>-(1469055.84+431961.12)</f>
        <v>-1901016.96</v>
      </c>
      <c r="E10" s="15"/>
      <c r="F10" s="15"/>
    </row>
    <row r="11" spans="1:6" s="9" customFormat="1" ht="24" customHeight="1">
      <c r="A11" s="22" t="s">
        <v>9</v>
      </c>
      <c r="B11" s="19"/>
      <c r="C11" s="20">
        <f>-878000/138.38*100</f>
        <v>-634484.752131811</v>
      </c>
      <c r="E11" s="15"/>
      <c r="F11" s="15"/>
    </row>
    <row r="12" spans="1:6" s="9" customFormat="1" ht="24" customHeight="1">
      <c r="A12" s="22" t="s">
        <v>53</v>
      </c>
      <c r="B12" s="19"/>
      <c r="C12" s="20">
        <v>-295055.39</v>
      </c>
      <c r="E12" s="15"/>
      <c r="F12" s="15"/>
    </row>
    <row r="13" spans="1:6" s="9" customFormat="1" ht="24" customHeight="1">
      <c r="A13" s="22" t="s">
        <v>43</v>
      </c>
      <c r="B13" s="19"/>
      <c r="C13" s="20">
        <v>-1609950.1925</v>
      </c>
      <c r="E13" s="15"/>
      <c r="F13" s="15"/>
    </row>
    <row r="14" spans="1:6" s="9" customFormat="1" ht="24" customHeight="1">
      <c r="A14" s="22" t="s">
        <v>55</v>
      </c>
      <c r="B14" s="19"/>
      <c r="C14" s="20">
        <v>-152421.32</v>
      </c>
      <c r="E14" s="15"/>
      <c r="F14" s="15"/>
    </row>
    <row r="15" spans="1:6" ht="24" customHeight="1">
      <c r="A15" s="14" t="s">
        <v>45</v>
      </c>
      <c r="B15" s="20">
        <f>B3+B7</f>
        <v>6348302.124584477</v>
      </c>
      <c r="C15" s="20">
        <f>SUM(C3:C14)</f>
        <v>6176144.004430355</v>
      </c>
      <c r="E15" s="21"/>
      <c r="F15" s="21"/>
    </row>
    <row r="16" spans="1:5" ht="24" customHeight="1">
      <c r="A16" s="14" t="s">
        <v>16</v>
      </c>
      <c r="B16" s="20"/>
      <c r="C16" s="20">
        <f>C15*38.38/100</f>
        <v>2370404.0689003705</v>
      </c>
      <c r="E16" s="21"/>
    </row>
    <row r="17" spans="1:5" ht="24" customHeight="1">
      <c r="A17" s="14" t="s">
        <v>56</v>
      </c>
      <c r="B17" s="20"/>
      <c r="C17" s="20">
        <f>C15+C16</f>
        <v>8546548.073330725</v>
      </c>
      <c r="E17" s="21"/>
    </row>
    <row r="18" spans="1:3" ht="21" customHeight="1">
      <c r="A18" s="22" t="s">
        <v>52</v>
      </c>
      <c r="B18" s="19"/>
      <c r="C18" s="49">
        <f>1346797.62+1346797.62*32.7/100+50624.72+50624.72*32.7/100+34996+34996*32.7/100</f>
        <v>1900819.13718</v>
      </c>
    </row>
    <row r="19" spans="1:5" ht="20.25" customHeight="1">
      <c r="A19" s="14" t="s">
        <v>10</v>
      </c>
      <c r="B19" s="19"/>
      <c r="C19" s="49">
        <v>11000</v>
      </c>
      <c r="E19" s="21"/>
    </row>
    <row r="20" spans="1:5" ht="57" customHeight="1">
      <c r="A20" s="14" t="s">
        <v>4</v>
      </c>
      <c r="B20" s="23">
        <v>0</v>
      </c>
      <c r="C20" s="49">
        <f>'[6] 2014 personale di prestito'!$F$10</f>
        <v>1933481.3736959998</v>
      </c>
      <c r="E20" s="21"/>
    </row>
    <row r="21" spans="1:3" ht="53.25" customHeight="1" thickBot="1">
      <c r="A21" s="14" t="s">
        <v>6</v>
      </c>
      <c r="B21" s="23"/>
      <c r="C21" s="49">
        <f>'[5]2014 strutture missione'!$E$23:$E$23</f>
        <v>800604.5095526399</v>
      </c>
    </row>
    <row r="22" spans="1:3" ht="33" customHeight="1" thickBot="1">
      <c r="A22" s="24" t="s">
        <v>57</v>
      </c>
      <c r="B22" s="20"/>
      <c r="C22" s="20">
        <f>SUM(C17:C21)</f>
        <v>13192453.093759365</v>
      </c>
    </row>
    <row r="23" spans="1:6" ht="15" customHeight="1">
      <c r="A23" s="14" t="s">
        <v>17</v>
      </c>
      <c r="B23" s="25"/>
      <c r="C23" s="26">
        <f>C22*15/100</f>
        <v>1978867.964063905</v>
      </c>
      <c r="E23" s="21"/>
      <c r="F23" s="21"/>
    </row>
    <row r="24" spans="1:3" ht="40.5" customHeight="1">
      <c r="A24" s="59" t="s">
        <v>54</v>
      </c>
      <c r="B24" s="60"/>
      <c r="C24" s="61"/>
    </row>
    <row r="25" spans="1:6" ht="24" customHeight="1">
      <c r="A25" s="14" t="s">
        <v>15</v>
      </c>
      <c r="B25" s="25"/>
      <c r="C25" s="20">
        <f>'[7]SPESA 2014'!$E$189+C23</f>
        <v>11939229.093072273</v>
      </c>
      <c r="F25" s="21"/>
    </row>
    <row r="26" spans="1:6" ht="24" customHeight="1">
      <c r="A26" s="14" t="s">
        <v>11</v>
      </c>
      <c r="B26" s="27"/>
      <c r="C26" s="48">
        <f>4144.69*132.7/100</f>
        <v>5500.003629999999</v>
      </c>
      <c r="F26" s="21"/>
    </row>
    <row r="27" spans="1:3" ht="24" customHeight="1">
      <c r="A27" s="14" t="s">
        <v>58</v>
      </c>
      <c r="B27" s="27"/>
      <c r="C27" s="48">
        <f>'[8] 2014INTERIM'!$D$9</f>
        <v>55245.04030999999</v>
      </c>
    </row>
    <row r="28" spans="1:3" ht="24" customHeight="1">
      <c r="A28" s="11" t="s">
        <v>12</v>
      </c>
      <c r="B28" s="27"/>
      <c r="C28" s="20">
        <f>C25+C26+C27</f>
        <v>11999974.137012271</v>
      </c>
    </row>
    <row r="29" spans="1:3" ht="24" customHeight="1">
      <c r="A29" s="14" t="s">
        <v>13</v>
      </c>
      <c r="B29" s="11"/>
      <c r="C29" s="20">
        <f>C22-C28</f>
        <v>1192478.9567470942</v>
      </c>
    </row>
    <row r="30" spans="1:3" ht="24" customHeight="1">
      <c r="A30" s="14" t="s">
        <v>14</v>
      </c>
      <c r="B30" s="11"/>
      <c r="C30" s="20">
        <f>C29/132.7*100</f>
        <v>898627.6991311939</v>
      </c>
    </row>
    <row r="32" ht="12.75">
      <c r="E32" s="21"/>
    </row>
  </sheetData>
  <sheetProtection/>
  <mergeCells count="2">
    <mergeCell ref="A1:C1"/>
    <mergeCell ref="A24:C24"/>
  </mergeCells>
  <printOptions horizontalCentered="1"/>
  <pageMargins left="0.7480314960629921" right="0.7874015748031497" top="3.24" bottom="0.984251968503937" header="2.7" footer="0.5118110236220472"/>
  <pageSetup horizontalDpi="600" verticalDpi="600" orientation="portrait" paperSize="9" r:id="rId1"/>
  <headerFooter alignWithMargins="0">
    <oddHeader>&amp;CREFERENDARI E DIRIGENTI II FASCIA  DEL RUOLO SPECIALE TECNICO - AMMINISTRATIVO DELLA PROTEZIONE CIVILE
FONDO PER LA RETRIBUZIONE DI POSIZIONE E DI RISULTATO</oddHeader>
    <oddFooter>&amp;L&amp;"Arial,Corsivo"&amp;8pma/serv.comp.fisse e accessorie&amp;R&amp;"Arial,Corsivo"&amp;8&amp;D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mpacifici</dc:creator>
  <cp:keywords/>
  <dc:description/>
  <cp:lastModifiedBy>Pacifici Maria Antonella</cp:lastModifiedBy>
  <cp:lastPrinted>2015-04-10T11:16:48Z</cp:lastPrinted>
  <dcterms:created xsi:type="dcterms:W3CDTF">2010-06-14T14:51:11Z</dcterms:created>
  <dcterms:modified xsi:type="dcterms:W3CDTF">2016-06-24T09:43:16Z</dcterms:modified>
  <cp:category/>
  <cp:version/>
  <cp:contentType/>
  <cp:contentStatus/>
</cp:coreProperties>
</file>